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dhovenduurzaam2020.sharepoint.com/sites/VHDZ/Gedeelde documenten/Webinars en workshops/Presentaties/meten is weten en energie contracten/"/>
    </mc:Choice>
  </mc:AlternateContent>
  <xr:revisionPtr revIDLastSave="91" documentId="13_ncr:1_{B39C8140-B593-41B9-9B75-7952BEC18615}" xr6:coauthVersionLast="47" xr6:coauthVersionMax="47" xr10:uidLastSave="{D1530C7D-7E42-4DF9-9606-73298A400CF8}"/>
  <bookViews>
    <workbookView xWindow="-108" yWindow="-108" windowWidth="23256" windowHeight="12456" firstSheet="1" activeTab="1" xr2:uid="{00E3D41A-9FAC-48EB-9CBB-8BFB95A9962A}"/>
  </bookViews>
  <sheets>
    <sheet name="Uitleg werking" sheetId="7" r:id="rId1"/>
    <sheet name="Invoer prijsafspraken" sheetId="6" r:id="rId2"/>
    <sheet name="schatting 2027" sheetId="5" r:id="rId3"/>
    <sheet name="belastingen" sheetId="1" r:id="rId4"/>
    <sheet name="vaste kosten" sheetId="2" r:id="rId5"/>
    <sheet name="Grafiek schatting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C23" i="5" s="1"/>
  <c r="C2" i="2"/>
  <c r="C5" i="2"/>
  <c r="B16" i="5"/>
  <c r="B15" i="5"/>
  <c r="D15" i="5" s="1"/>
  <c r="B4" i="2"/>
  <c r="C11" i="5" s="1"/>
  <c r="C18" i="5"/>
  <c r="C19" i="5"/>
  <c r="C7" i="5"/>
  <c r="C6" i="5"/>
  <c r="C3" i="5"/>
  <c r="C2" i="5"/>
  <c r="B3" i="1"/>
  <c r="B13" i="5"/>
  <c r="B8" i="5"/>
  <c r="B8" i="1"/>
  <c r="C13" i="5"/>
  <c r="B5" i="2"/>
  <c r="C22" i="5" s="1"/>
  <c r="B2" i="2"/>
  <c r="C10" i="5" s="1"/>
  <c r="B26" i="5"/>
  <c r="D26" i="5" s="1"/>
  <c r="B23" i="5"/>
  <c r="B22" i="5"/>
  <c r="B11" i="5"/>
  <c r="B3" i="2"/>
  <c r="C14" i="5"/>
  <c r="B14" i="5"/>
  <c r="B7" i="5"/>
  <c r="B9" i="5"/>
  <c r="B6" i="5"/>
  <c r="B3" i="5"/>
  <c r="B4" i="5"/>
  <c r="B5" i="5"/>
  <c r="B2" i="5"/>
  <c r="B24" i="5"/>
  <c r="B19" i="5"/>
  <c r="B20" i="5"/>
  <c r="B21" i="5"/>
  <c r="B18" i="5"/>
  <c r="B6" i="1"/>
  <c r="B7" i="1" s="1"/>
  <c r="B9" i="1" l="1"/>
  <c r="D14" i="5"/>
  <c r="D10" i="5"/>
  <c r="D11" i="5"/>
  <c r="D13" i="5"/>
  <c r="D23" i="5"/>
  <c r="D22" i="5"/>
  <c r="C8" i="5"/>
  <c r="C9" i="5" s="1"/>
  <c r="D9" i="5" s="1"/>
  <c r="D7" i="5"/>
  <c r="D6" i="5"/>
  <c r="D19" i="5"/>
  <c r="D3" i="5"/>
  <c r="C20" i="5"/>
  <c r="D20" i="5" s="1"/>
  <c r="C4" i="5"/>
  <c r="D18" i="5"/>
  <c r="D2" i="5"/>
  <c r="B4" i="1"/>
  <c r="D4" i="5" l="1"/>
  <c r="D8" i="5"/>
  <c r="C5" i="5"/>
  <c r="D5" i="5" s="1"/>
  <c r="D16" i="5" s="1"/>
  <c r="C21" i="5"/>
  <c r="D21" i="5" s="1"/>
  <c r="D24" i="5" s="1"/>
  <c r="D27" i="5" l="1"/>
  <c r="D29" i="5" s="1"/>
</calcChain>
</file>

<file path=xl/sharedStrings.xml><?xml version="1.0" encoding="utf-8"?>
<sst xmlns="http://schemas.openxmlformats.org/spreadsheetml/2006/main" count="108" uniqueCount="84">
  <si>
    <t>Dit bestand is bedoeld om U een schatting te laten maken van de energiekosten voor 2027</t>
  </si>
  <si>
    <t>Sommige getallen zijn nog niet definitief, maar we verwachten dat ze aardig kloppen</t>
  </si>
  <si>
    <t>Hoe werkt dit bestand?</t>
  </si>
  <si>
    <t>Voor het invullen kunt U in het blad  "Invoer prijsafspraken" de gekaderde cellen invullen met de gegevens die U heeft gekregen.</t>
  </si>
  <si>
    <t>Dat kan zijn in uw lopende contract of uit een aanbieding</t>
  </si>
  <si>
    <t>Meestal worden de tarieven incl belasting en BTW gegeven, maar we hebben ook cellen gebruikt die het invullen van het kale tarief mogelijk maken.</t>
  </si>
  <si>
    <t>U moet echter wel een keuze maken, anders werkt het bestand niet goed.</t>
  </si>
  <si>
    <t>Dus of regel 5 (cel E5) of regel 7(cel E7) invullen en ook of regel 11 (cel E11) of regel13 (cel E13) en dan de andere "0" maken</t>
  </si>
  <si>
    <t>Vastrecht of leveringskosten leverancier worden ook vaak per maand of per jaar afgegeven</t>
  </si>
  <si>
    <t>Dan cel  E25 en E34 vullen met bij maand (bedrag x 12/365) of bi jaar (bedrag /365)</t>
  </si>
  <si>
    <t>Er zijn 100den variaties te bedenken, maar dan wordt het onoverzichtelijk</t>
  </si>
  <si>
    <t>Mede om die reden gaan we uit van een vast contract</t>
  </si>
  <si>
    <t>Wat is zijn de kosten op jaarbasis?</t>
  </si>
  <si>
    <t>Normaal (piek) tarief</t>
  </si>
  <si>
    <r>
      <t xml:space="preserve">Geef hier het bedrag op voor de tarief afspraak voor stroom normaal tarief. </t>
    </r>
    <r>
      <rPr>
        <b/>
        <sz val="14"/>
        <color theme="1"/>
        <rFont val="Calibri"/>
        <family val="2"/>
        <scheme val="minor"/>
      </rPr>
      <t>Zorg er dan voor dat cel E7 €0,00 is</t>
    </r>
  </si>
  <si>
    <t>€</t>
  </si>
  <si>
    <r>
      <t xml:space="preserve">Of geef hier het bedrag op voor het tarief incl energiebelasting en BTW voor stroom normaal. </t>
    </r>
    <r>
      <rPr>
        <b/>
        <sz val="14"/>
        <color rgb="FFFF0000"/>
        <rFont val="Calibri"/>
        <family val="2"/>
        <scheme val="minor"/>
      </rPr>
      <t>Zorg er dan voor dat cel E5 €0,00 is</t>
    </r>
  </si>
  <si>
    <t>Vul hier het geschatte verbruik in</t>
  </si>
  <si>
    <t>kWh</t>
  </si>
  <si>
    <t>Dal tarief</t>
  </si>
  <si>
    <r>
      <t>Geef hier het bedrag op voor de kale tarief afspraak voor stroom dal tarief.</t>
    </r>
    <r>
      <rPr>
        <b/>
        <sz val="14"/>
        <color theme="1"/>
        <rFont val="Calibri"/>
        <family val="2"/>
        <scheme val="minor"/>
      </rPr>
      <t xml:space="preserve"> Zorg er dan voor dat cel E14 leeg is €0,00 is</t>
    </r>
  </si>
  <si>
    <r>
      <t xml:space="preserve">Of geef hier het bedrag op voor het tarief incl energiebelasting en BTW voor stroom dal. </t>
    </r>
    <r>
      <rPr>
        <b/>
        <sz val="14"/>
        <color rgb="FFFF0000"/>
        <rFont val="Calibri"/>
        <family val="2"/>
        <scheme val="minor"/>
      </rPr>
      <t>Zorg er dan voor dat cel E12 €0,00 is</t>
    </r>
  </si>
  <si>
    <t>Zonnepanelen</t>
  </si>
  <si>
    <t>Geef hier het bedrag op voor teruglevering vergoeding (wat jij ontvangt)</t>
  </si>
  <si>
    <t>Geef hier het bedrag op voor teruglevering kosten (wat jij moet betalen)</t>
  </si>
  <si>
    <t>Vul hier het geschatte teruglever vermogen in</t>
  </si>
  <si>
    <t>Geef hier het bedrag op voor vastrecht stroom (leveringskosten leverancier) per dag incl BTW</t>
  </si>
  <si>
    <t>GAS</t>
  </si>
  <si>
    <r>
      <t xml:space="preserve">Geef hier het bedrag op voor de tarief afspraak voor gas. </t>
    </r>
    <r>
      <rPr>
        <b/>
        <sz val="14"/>
        <color theme="1"/>
        <rFont val="Calibri"/>
        <family val="2"/>
        <scheme val="minor"/>
      </rPr>
      <t>Zorg er dan voor dat cel E30 €0,00 is</t>
    </r>
  </si>
  <si>
    <r>
      <t xml:space="preserve">Of geef hier het bedrag op voor het tarief incl energiebelasting en BTW voor gas. </t>
    </r>
    <r>
      <rPr>
        <b/>
        <sz val="14"/>
        <color rgb="FFFF0000"/>
        <rFont val="Calibri"/>
        <family val="2"/>
        <scheme val="minor"/>
      </rPr>
      <t>Zorg er dan voor dat cel E28 €0,00 is</t>
    </r>
  </si>
  <si>
    <r>
      <t>m</t>
    </r>
    <r>
      <rPr>
        <sz val="11"/>
        <color theme="1"/>
        <rFont val="Calibri"/>
        <family val="2"/>
      </rPr>
      <t>³</t>
    </r>
  </si>
  <si>
    <t>Geef hier het bedrag op voor vastrecht gas (leveringskosten leverancier) per dag</t>
  </si>
  <si>
    <t>Vul hier de welkomsbonus in</t>
  </si>
  <si>
    <t>ALLEEN DE GEKADERDE CELLEN INVULLEN!</t>
  </si>
  <si>
    <t>basis stroom dubbel</t>
  </si>
  <si>
    <t>verbruik kWh</t>
  </si>
  <si>
    <t>tarief</t>
  </si>
  <si>
    <t>totaal</t>
  </si>
  <si>
    <t>prijs per kWh</t>
  </si>
  <si>
    <t>Energiebelasting</t>
  </si>
  <si>
    <t>BTW</t>
  </si>
  <si>
    <t>normaal stroom</t>
  </si>
  <si>
    <t>dal stroom</t>
  </si>
  <si>
    <t>leveringskosten 2027 stroom*</t>
  </si>
  <si>
    <t>netbeheerkosten 2027 stroom</t>
  </si>
  <si>
    <t>basis teruglevering</t>
  </si>
  <si>
    <t>terugleververgoeding</t>
  </si>
  <si>
    <t>terugleverkosten</t>
  </si>
  <si>
    <t>vermindering belasting</t>
  </si>
  <si>
    <t>totale kosten stroom</t>
  </si>
  <si>
    <t>basis gas</t>
  </si>
  <si>
    <r>
      <t>verbruik m</t>
    </r>
    <r>
      <rPr>
        <sz val="11"/>
        <color theme="1"/>
        <rFont val="Aptos Narrow"/>
        <family val="2"/>
      </rPr>
      <t>³</t>
    </r>
  </si>
  <si>
    <t>prijs per m3</t>
  </si>
  <si>
    <t>normaal gas</t>
  </si>
  <si>
    <t>leveringskosten 2027 gas*</t>
  </si>
  <si>
    <t>netbeheerkosten 2027 gas</t>
  </si>
  <si>
    <t>totale kosten gas</t>
  </si>
  <si>
    <t>welkomsbonus</t>
  </si>
  <si>
    <t>jaarnota 2027</t>
  </si>
  <si>
    <t>per maand</t>
  </si>
  <si>
    <t>* vastrecht kosten leverancier</t>
  </si>
  <si>
    <t>Energiebelastingen</t>
  </si>
  <si>
    <t>Energiebelasting stroom</t>
  </si>
  <si>
    <t>BTW over bovenstaande</t>
  </si>
  <si>
    <t>Totaal stroom/kWh</t>
  </si>
  <si>
    <t>Energiebelasting gas</t>
  </si>
  <si>
    <r>
      <t>Totaal gas/m</t>
    </r>
    <r>
      <rPr>
        <b/>
        <sz val="11"/>
        <color theme="1"/>
        <rFont val="Calibri"/>
        <family val="2"/>
      </rPr>
      <t>³</t>
    </r>
  </si>
  <si>
    <t>Vermindering/jaar</t>
  </si>
  <si>
    <t xml:space="preserve">totaal vermindering energiebelasting </t>
  </si>
  <si>
    <t>vaste kosten per dag</t>
  </si>
  <si>
    <t>basis 2027</t>
  </si>
  <si>
    <t>Jaar</t>
  </si>
  <si>
    <t>leveringskosten stroom*</t>
  </si>
  <si>
    <t>gemiddelde kosten leveranciers</t>
  </si>
  <si>
    <t>terugleverkosten*</t>
  </si>
  <si>
    <t>netbeheerkosten stroom**</t>
  </si>
  <si>
    <t>leveringskosten gas*</t>
  </si>
  <si>
    <t>netbeheerkosten gas**</t>
  </si>
  <si>
    <t>* leverancier afhankelijk</t>
  </si>
  <si>
    <t>** opgave ENEXIS op jaarbasis</t>
  </si>
  <si>
    <t xml:space="preserve"> </t>
  </si>
  <si>
    <r>
      <t>&lt; 500 m</t>
    </r>
    <r>
      <rPr>
        <sz val="11"/>
        <color theme="1"/>
        <rFont val="Aptos Narrow"/>
        <family val="2"/>
      </rPr>
      <t>³</t>
    </r>
  </si>
  <si>
    <r>
      <t>verwachte kosten Enexis 500-4000m</t>
    </r>
    <r>
      <rPr>
        <sz val="11"/>
        <color theme="1"/>
        <rFont val="Aptos Narrow"/>
        <family val="2"/>
      </rPr>
      <t>³</t>
    </r>
    <r>
      <rPr>
        <sz val="11"/>
        <color theme="1"/>
        <rFont val="Calibri"/>
        <family val="2"/>
        <scheme val="minor"/>
      </rPr>
      <t xml:space="preserve"> t/m G6</t>
    </r>
  </si>
  <si>
    <t>verwachte kosten Enexis t/m 3 x25A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</si>
</sst>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164" formatCode="&quot;€&quot;\ #,##0.00"/>
    <numFmt numFmtId="165" formatCode="&quot;€&quot;\ #,##0.0000;[Red]&quot;€&quot;\ \-#,##0.0000"/>
    <numFmt numFmtId="166" formatCode="&quot;€&quot;\ #,##0.0000"/>
    <numFmt numFmtId="167" formatCode="0.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22"/>
      <color theme="9"/>
      <name val="Calibri"/>
      <family val="2"/>
      <scheme val="minor"/>
    </font>
    <font>
      <sz val="11"/>
      <color theme="1"/>
      <name val="Aptos Narrow"/>
      <family val="2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theme="1"/>
      <name val="Aptos Narrow"/>
      <family val="2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Aptos Narrow"/>
      <family val="2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6" tint="0.59996337778862885"/>
      </patternFill>
    </fill>
  </fills>
  <borders count="11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0" applyFont="1"/>
    <xf numFmtId="0" fontId="7" fillId="0" borderId="0" xfId="0" applyFont="1"/>
    <xf numFmtId="0" fontId="6" fillId="0" borderId="0" xfId="1" applyFont="1" applyFill="1" applyBorder="1"/>
    <xf numFmtId="0" fontId="1" fillId="0" borderId="0" xfId="0" applyFont="1" applyAlignment="1">
      <alignment horizontal="left" vertical="top" wrapText="1"/>
    </xf>
    <xf numFmtId="166" fontId="9" fillId="0" borderId="0" xfId="0" applyNumberFormat="1" applyFont="1"/>
    <xf numFmtId="166" fontId="10" fillId="0" borderId="0" xfId="0" applyNumberFormat="1" applyFont="1"/>
    <xf numFmtId="164" fontId="0" fillId="0" borderId="0" xfId="0" applyNumberFormat="1"/>
    <xf numFmtId="166" fontId="1" fillId="0" borderId="0" xfId="0" applyNumberFormat="1" applyFont="1" applyAlignment="1">
      <alignment horizontal="left" indent="5"/>
    </xf>
    <xf numFmtId="166" fontId="1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6" fontId="12" fillId="0" borderId="0" xfId="0" applyNumberFormat="1" applyFont="1"/>
    <xf numFmtId="0" fontId="13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quotePrefix="1" applyFont="1" applyAlignment="1">
      <alignment horizontal="left" vertical="top" wrapText="1"/>
    </xf>
    <xf numFmtId="166" fontId="11" fillId="0" borderId="0" xfId="0" applyNumberFormat="1" applyFont="1"/>
    <xf numFmtId="0" fontId="11" fillId="0" borderId="0" xfId="0" applyFont="1" applyAlignment="1">
      <alignment horizontal="left" vertical="top"/>
    </xf>
    <xf numFmtId="0" fontId="14" fillId="0" borderId="0" xfId="0" applyFont="1"/>
    <xf numFmtId="0" fontId="15" fillId="0" borderId="0" xfId="0" applyFont="1"/>
    <xf numFmtId="0" fontId="0" fillId="0" borderId="5" xfId="0" applyBorder="1"/>
    <xf numFmtId="0" fontId="0" fillId="0" borderId="6" xfId="0" applyBorder="1"/>
    <xf numFmtId="0" fontId="13" fillId="0" borderId="5" xfId="0" applyFont="1" applyBorder="1"/>
    <xf numFmtId="0" fontId="5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13" fillId="0" borderId="0" xfId="1" applyFont="1" applyFill="1" applyBorder="1"/>
    <xf numFmtId="0" fontId="5" fillId="0" borderId="7" xfId="0" applyFont="1" applyBorder="1"/>
    <xf numFmtId="0" fontId="16" fillId="0" borderId="0" xfId="0" applyFont="1" applyAlignment="1">
      <alignment horizontal="right"/>
    </xf>
    <xf numFmtId="167" fontId="17" fillId="3" borderId="1" xfId="1" applyNumberFormat="1" applyFont="1" applyFill="1" applyBorder="1"/>
    <xf numFmtId="0" fontId="5" fillId="0" borderId="8" xfId="0" applyFont="1" applyBorder="1"/>
    <xf numFmtId="0" fontId="17" fillId="3" borderId="9" xfId="1" applyFont="1" applyFill="1" applyBorder="1"/>
    <xf numFmtId="0" fontId="17" fillId="3" borderId="1" xfId="1" applyFont="1" applyFill="1" applyBorder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8" fillId="0" borderId="5" xfId="0" applyFont="1" applyBorder="1"/>
    <xf numFmtId="0" fontId="19" fillId="0" borderId="0" xfId="0" applyFont="1" applyAlignment="1">
      <alignment horizontal="right"/>
    </xf>
    <xf numFmtId="167" fontId="20" fillId="0" borderId="0" xfId="1" applyNumberFormat="1" applyFont="1" applyFill="1" applyBorder="1"/>
    <xf numFmtId="0" fontId="14" fillId="0" borderId="6" xfId="0" applyFont="1" applyBorder="1"/>
    <xf numFmtId="0" fontId="14" fillId="0" borderId="5" xfId="0" applyFont="1" applyBorder="1"/>
    <xf numFmtId="0" fontId="20" fillId="0" borderId="3" xfId="1" applyFont="1" applyFill="1" applyBorder="1"/>
    <xf numFmtId="0" fontId="20" fillId="0" borderId="0" xfId="1" applyFont="1" applyFill="1" applyBorder="1"/>
    <xf numFmtId="167" fontId="17" fillId="4" borderId="1" xfId="1" applyNumberFormat="1" applyFont="1" applyFill="1" applyBorder="1"/>
    <xf numFmtId="2" fontId="17" fillId="4" borderId="1" xfId="1" applyNumberFormat="1" applyFont="1" applyFill="1" applyBorder="1"/>
    <xf numFmtId="0" fontId="14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167" fontId="20" fillId="0" borderId="0" xfId="1" applyNumberFormat="1" applyFont="1" applyFill="1" applyBorder="1" applyAlignment="1">
      <alignment vertical="center"/>
    </xf>
    <xf numFmtId="2" fontId="20" fillId="0" borderId="0" xfId="1" applyNumberFormat="1" applyFont="1" applyFill="1" applyBorder="1"/>
    <xf numFmtId="8" fontId="0" fillId="0" borderId="0" xfId="0" applyNumberFormat="1"/>
  </cellXfs>
  <cellStyles count="2">
    <cellStyle name="Accent3" xfId="1" builtinId="3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schatting 2027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74AD-4EF1-BFD0-8AE812126BF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A-74AD-4EF1-BFD0-8AE812126BF8}"/>
              </c:ext>
            </c:extLst>
          </c:dPt>
          <c:dPt>
            <c:idx val="1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74AD-4EF1-BFD0-8AE812126BF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74AD-4EF1-BFD0-8AE812126BF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74AD-4EF1-BFD0-8AE812126BF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8-74AD-4EF1-BFD0-8AE812126BF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74AD-4EF1-BFD0-8AE812126BF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74AD-4EF1-BFD0-8AE812126BF8}"/>
              </c:ext>
            </c:extLst>
          </c:dPt>
          <c:dPt>
            <c:idx val="1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74AD-4EF1-BFD0-8AE812126BF8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'schatting 2027'!$A$2:$A$24</c15:sqref>
                  </c15:fullRef>
                </c:ext>
              </c:extLst>
              <c:f>('schatting 2027'!$A$2:$A$4,'schatting 2027'!$A$6:$A$8,'schatting 2027'!$A$10:$A$11,'schatting 2027'!$A$13:$A$16,'schatting 2027'!$A$18:$A$20,'schatting 2027'!$A$22:$A$24)</c:f>
              <c:strCache>
                <c:ptCount val="18"/>
                <c:pt idx="0">
                  <c:v>prijs per kWh</c:v>
                </c:pt>
                <c:pt idx="1">
                  <c:v>Energiebelasting</c:v>
                </c:pt>
                <c:pt idx="2">
                  <c:v>BTW</c:v>
                </c:pt>
                <c:pt idx="3">
                  <c:v>prijs per kWh</c:v>
                </c:pt>
                <c:pt idx="4">
                  <c:v>Energiebelasting</c:v>
                </c:pt>
                <c:pt idx="5">
                  <c:v>BTW</c:v>
                </c:pt>
                <c:pt idx="6">
                  <c:v>leveringskosten 2027 stroom*</c:v>
                </c:pt>
                <c:pt idx="7">
                  <c:v>netbeheerkosten 2027 stroom</c:v>
                </c:pt>
                <c:pt idx="8">
                  <c:v>terugleververgoeding</c:v>
                </c:pt>
                <c:pt idx="9">
                  <c:v>terugleverkosten</c:v>
                </c:pt>
                <c:pt idx="10">
                  <c:v>vermindering belasting</c:v>
                </c:pt>
                <c:pt idx="11">
                  <c:v>totale kosten stroom</c:v>
                </c:pt>
                <c:pt idx="12">
                  <c:v>prijs per m3</c:v>
                </c:pt>
                <c:pt idx="13">
                  <c:v>Energiebelasting</c:v>
                </c:pt>
                <c:pt idx="14">
                  <c:v>BTW</c:v>
                </c:pt>
                <c:pt idx="15">
                  <c:v>leveringskosten 2027 gas*</c:v>
                </c:pt>
                <c:pt idx="16">
                  <c:v>netbeheerkosten 2027 gas</c:v>
                </c:pt>
                <c:pt idx="17">
                  <c:v>totale kosten gas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'schatting 2027'!$D$2:$D$24</c15:sqref>
                  </c15:fullRef>
                </c:ext>
              </c:extLst>
              <c:f>('schatting 2027'!$D$2:$D$4,'schatting 2027'!$D$6:$D$8,'schatting 2027'!$D$10:$D$11,'schatting 2027'!$D$13:$D$16,'schatting 2027'!$D$18:$D$20,'schatting 2027'!$D$22:$D$24)</c:f>
              <c:numCache>
                <c:formatCode>"€"\ #,##0.0000</c:formatCode>
                <c:ptCount val="18"/>
                <c:pt idx="0">
                  <c:v>354.57851239669429</c:v>
                </c:pt>
                <c:pt idx="1">
                  <c:v>176</c:v>
                </c:pt>
                <c:pt idx="2">
                  <c:v>111.42148760330581</c:v>
                </c:pt>
                <c:pt idx="3">
                  <c:v>174.80991735537191</c:v>
                </c:pt>
                <c:pt idx="4">
                  <c:v>88</c:v>
                </c:pt>
                <c:pt idx="5">
                  <c:v>55.190082644628106</c:v>
                </c:pt>
                <c:pt idx="6">
                  <c:v>135.78</c:v>
                </c:pt>
                <c:pt idx="7">
                  <c:v>532.94000000000005</c:v>
                </c:pt>
                <c:pt idx="8">
                  <c:v>-260.40000000000003</c:v>
                </c:pt>
                <c:pt idx="9">
                  <c:v>168</c:v>
                </c:pt>
                <c:pt idx="10">
                  <c:v>-628.69000000000005</c:v>
                </c:pt>
                <c:pt idx="11">
                  <c:v>907.63000000000011</c:v>
                </c:pt>
                <c:pt idx="12">
                  <c:v>480.31735537190087</c:v>
                </c:pt>
                <c:pt idx="13">
                  <c:v>369.6</c:v>
                </c:pt>
                <c:pt idx="14">
                  <c:v>178.48264462809917</c:v>
                </c:pt>
                <c:pt idx="15">
                  <c:v>94.9</c:v>
                </c:pt>
                <c:pt idx="16">
                  <c:v>298.32</c:v>
                </c:pt>
                <c:pt idx="17">
                  <c:v>1421.6200000000001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'schatting 2027'!$D$21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/>
                  </c15:spP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74AD-4EF1-BFD0-8AE812126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22204239"/>
        <c:axId val="1571136655"/>
      </c:barChart>
      <c:catAx>
        <c:axId val="18222042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71136655"/>
        <c:crosses val="autoZero"/>
        <c:auto val="1"/>
        <c:lblAlgn val="ctr"/>
        <c:lblOffset val="100"/>
        <c:noMultiLvlLbl val="0"/>
      </c:catAx>
      <c:valAx>
        <c:axId val="15711366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822204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5</xdr:row>
      <xdr:rowOff>133350</xdr:rowOff>
    </xdr:from>
    <xdr:to>
      <xdr:col>17</xdr:col>
      <xdr:colOff>419100</xdr:colOff>
      <xdr:row>23</xdr:row>
      <xdr:rowOff>76200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3EEE4750-07CA-5D08-3E72-9ACAF3D80A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8F673-24DC-4E18-A361-8ECEB0424492}">
  <dimension ref="A1:A14"/>
  <sheetViews>
    <sheetView showGridLines="0" workbookViewId="0">
      <selection activeCell="M13" sqref="M13"/>
    </sheetView>
  </sheetViews>
  <sheetFormatPr defaultColWidth="8.88671875" defaultRowHeight="18" x14ac:dyDescent="0.35"/>
  <cols>
    <col min="1" max="16384" width="8.88671875" style="26"/>
  </cols>
  <sheetData>
    <row r="1" spans="1:1" x14ac:dyDescent="0.35">
      <c r="A1" s="26" t="s">
        <v>0</v>
      </c>
    </row>
    <row r="2" spans="1:1" x14ac:dyDescent="0.35">
      <c r="A2" s="26" t="s">
        <v>1</v>
      </c>
    </row>
    <row r="3" spans="1:1" x14ac:dyDescent="0.35">
      <c r="A3" s="26" t="s">
        <v>2</v>
      </c>
    </row>
    <row r="4" spans="1:1" x14ac:dyDescent="0.35">
      <c r="A4" s="26" t="s">
        <v>3</v>
      </c>
    </row>
    <row r="5" spans="1:1" x14ac:dyDescent="0.35">
      <c r="A5" s="26" t="s">
        <v>4</v>
      </c>
    </row>
    <row r="6" spans="1:1" x14ac:dyDescent="0.35">
      <c r="A6" s="26" t="s">
        <v>5</v>
      </c>
    </row>
    <row r="7" spans="1:1" x14ac:dyDescent="0.35">
      <c r="A7" s="26" t="s">
        <v>6</v>
      </c>
    </row>
    <row r="8" spans="1:1" x14ac:dyDescent="0.35">
      <c r="A8" s="26" t="s">
        <v>7</v>
      </c>
    </row>
    <row r="10" spans="1:1" x14ac:dyDescent="0.35">
      <c r="A10" s="26" t="s">
        <v>8</v>
      </c>
    </row>
    <row r="11" spans="1:1" x14ac:dyDescent="0.35">
      <c r="A11" s="26" t="s">
        <v>9</v>
      </c>
    </row>
    <row r="13" spans="1:1" x14ac:dyDescent="0.35">
      <c r="A13" s="26" t="s">
        <v>10</v>
      </c>
    </row>
    <row r="14" spans="1:1" x14ac:dyDescent="0.35">
      <c r="A14" s="26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2635-6E9D-4567-A962-424A58A0C053}">
  <dimension ref="B2:U37"/>
  <sheetViews>
    <sheetView showGridLines="0" tabSelected="1" topLeftCell="A19" zoomScale="75" zoomScaleNormal="75" workbookViewId="0">
      <selection activeCell="E33" sqref="E33"/>
    </sheetView>
  </sheetViews>
  <sheetFormatPr defaultRowHeight="14.4" x14ac:dyDescent="0.3"/>
  <cols>
    <col min="5" max="5" width="11.109375" bestFit="1" customWidth="1"/>
  </cols>
  <sheetData>
    <row r="2" spans="2:21" ht="28.8" x14ac:dyDescent="0.55000000000000004">
      <c r="B2" s="10" t="s">
        <v>12</v>
      </c>
    </row>
    <row r="3" spans="2:21" ht="23.4" x14ac:dyDescent="0.45">
      <c r="B3" s="21" t="s">
        <v>13</v>
      </c>
    </row>
    <row r="4" spans="2:21" s="26" customFormat="1" ht="18.600000000000001" thickBot="1" x14ac:dyDescent="0.4">
      <c r="B4" s="42" t="s">
        <v>14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2:21" ht="24.6" thickTop="1" thickBot="1" x14ac:dyDescent="0.5">
      <c r="B5" s="28"/>
      <c r="D5" s="37" t="s">
        <v>15</v>
      </c>
      <c r="E5" s="38">
        <v>0</v>
      </c>
      <c r="U5" s="29"/>
    </row>
    <row r="6" spans="2:21" s="26" customFormat="1" ht="19.2" thickTop="1" thickBot="1" x14ac:dyDescent="0.4">
      <c r="B6" s="45" t="s">
        <v>16</v>
      </c>
      <c r="D6" s="46"/>
      <c r="E6" s="47"/>
      <c r="U6" s="48"/>
    </row>
    <row r="7" spans="2:21" ht="24.6" thickTop="1" thickBot="1" x14ac:dyDescent="0.5">
      <c r="B7" s="28"/>
      <c r="D7" s="37" t="s">
        <v>15</v>
      </c>
      <c r="E7" s="38">
        <v>0.32100000000000001</v>
      </c>
      <c r="U7" s="29"/>
    </row>
    <row r="8" spans="2:21" s="26" customFormat="1" ht="19.2" thickTop="1" thickBot="1" x14ac:dyDescent="0.4">
      <c r="B8" s="49" t="s">
        <v>17</v>
      </c>
      <c r="U8" s="48"/>
    </row>
    <row r="9" spans="2:21" ht="24" thickTop="1" x14ac:dyDescent="0.45">
      <c r="B9" s="32"/>
      <c r="C9" s="33"/>
      <c r="D9" s="39"/>
      <c r="E9" s="40">
        <v>2000</v>
      </c>
      <c r="F9" s="33" t="s">
        <v>18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2:21" s="21" customFormat="1" ht="23.4" x14ac:dyDescent="0.45">
      <c r="B10" s="21" t="s">
        <v>19</v>
      </c>
      <c r="E10" s="35"/>
    </row>
    <row r="11" spans="2:21" s="26" customFormat="1" ht="18.600000000000001" thickBot="1" x14ac:dyDescent="0.4">
      <c r="B11" s="42" t="s">
        <v>20</v>
      </c>
      <c r="C11" s="43"/>
      <c r="D11" s="43"/>
      <c r="E11" s="50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2:21" ht="24.6" thickTop="1" thickBot="1" x14ac:dyDescent="0.5">
      <c r="B12" s="28"/>
      <c r="D12" s="37" t="s">
        <v>15</v>
      </c>
      <c r="E12" s="38">
        <v>0</v>
      </c>
      <c r="U12" s="29"/>
    </row>
    <row r="13" spans="2:21" s="26" customFormat="1" ht="19.2" thickTop="1" thickBot="1" x14ac:dyDescent="0.4">
      <c r="B13" s="45" t="s">
        <v>21</v>
      </c>
      <c r="D13" s="46"/>
      <c r="E13" s="47"/>
      <c r="U13" s="48"/>
    </row>
    <row r="14" spans="2:21" ht="24.6" thickTop="1" thickBot="1" x14ac:dyDescent="0.5">
      <c r="B14" s="28"/>
      <c r="D14" s="37" t="s">
        <v>15</v>
      </c>
      <c r="E14" s="38">
        <v>0.318</v>
      </c>
      <c r="U14" s="29"/>
    </row>
    <row r="15" spans="2:21" s="26" customFormat="1" ht="19.2" thickTop="1" thickBot="1" x14ac:dyDescent="0.4">
      <c r="B15" s="49" t="s">
        <v>17</v>
      </c>
      <c r="E15" s="51"/>
      <c r="U15" s="48"/>
    </row>
    <row r="16" spans="2:21" ht="24" thickTop="1" x14ac:dyDescent="0.45">
      <c r="B16" s="32"/>
      <c r="C16" s="33"/>
      <c r="D16" s="39"/>
      <c r="E16" s="40">
        <v>1000</v>
      </c>
      <c r="F16" s="33" t="s">
        <v>18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</row>
    <row r="17" spans="2:21" ht="23.4" x14ac:dyDescent="0.45">
      <c r="B17" s="30" t="s">
        <v>22</v>
      </c>
      <c r="E17" s="11"/>
      <c r="U17" s="29"/>
    </row>
    <row r="18" spans="2:21" s="26" customFormat="1" ht="18.600000000000001" thickBot="1" x14ac:dyDescent="0.4">
      <c r="B18" s="42" t="s">
        <v>23</v>
      </c>
      <c r="C18" s="43"/>
      <c r="D18" s="43"/>
      <c r="E18" s="50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2:21" ht="24.6" thickTop="1" thickBot="1" x14ac:dyDescent="0.5">
      <c r="B19" s="28"/>
      <c r="D19" s="37" t="s">
        <v>15</v>
      </c>
      <c r="E19" s="41">
        <v>8.6800000000000002E-2</v>
      </c>
      <c r="U19" s="29"/>
    </row>
    <row r="20" spans="2:21" s="26" customFormat="1" ht="19.2" thickTop="1" thickBot="1" x14ac:dyDescent="0.4">
      <c r="B20" s="49" t="s">
        <v>24</v>
      </c>
      <c r="D20" s="46"/>
      <c r="E20" s="51"/>
      <c r="U20" s="48"/>
    </row>
    <row r="21" spans="2:21" ht="24.6" thickTop="1" thickBot="1" x14ac:dyDescent="0.5">
      <c r="B21" s="31"/>
      <c r="D21" s="37" t="s">
        <v>15</v>
      </c>
      <c r="E21" s="38">
        <v>5.6000000000000001E-2</v>
      </c>
      <c r="U21" s="29"/>
    </row>
    <row r="22" spans="2:21" s="26" customFormat="1" ht="19.2" thickTop="1" thickBot="1" x14ac:dyDescent="0.4">
      <c r="B22" s="49" t="s">
        <v>25</v>
      </c>
      <c r="E22" s="51"/>
      <c r="U22" s="48"/>
    </row>
    <row r="23" spans="2:21" ht="24" thickTop="1" x14ac:dyDescent="0.45">
      <c r="B23" s="36"/>
      <c r="C23" s="33"/>
      <c r="D23" s="39"/>
      <c r="E23" s="40">
        <v>3000</v>
      </c>
      <c r="F23" s="33" t="s">
        <v>18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</row>
    <row r="24" spans="2:21" s="54" customFormat="1" ht="18.600000000000001" thickBot="1" x14ac:dyDescent="0.35">
      <c r="B24" s="54" t="s">
        <v>26</v>
      </c>
      <c r="D24" s="55"/>
      <c r="E24" s="56"/>
    </row>
    <row r="25" spans="2:21" ht="24.6" thickTop="1" thickBot="1" x14ac:dyDescent="0.5">
      <c r="B25" s="9"/>
      <c r="D25" s="37" t="s">
        <v>15</v>
      </c>
      <c r="E25" s="38">
        <v>0.372</v>
      </c>
    </row>
    <row r="26" spans="2:21" ht="24" thickTop="1" x14ac:dyDescent="0.45">
      <c r="B26" s="21" t="s">
        <v>27</v>
      </c>
    </row>
    <row r="27" spans="2:21" s="26" customFormat="1" ht="18.600000000000001" thickBot="1" x14ac:dyDescent="0.4">
      <c r="B27" s="42" t="s">
        <v>28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4"/>
    </row>
    <row r="28" spans="2:21" ht="24.6" thickTop="1" thickBot="1" x14ac:dyDescent="0.5">
      <c r="B28" s="28"/>
      <c r="D28" s="37" t="s">
        <v>15</v>
      </c>
      <c r="E28" s="52">
        <v>0</v>
      </c>
      <c r="U28" s="29"/>
    </row>
    <row r="29" spans="2:21" s="26" customFormat="1" ht="19.2" thickTop="1" thickBot="1" x14ac:dyDescent="0.4">
      <c r="B29" s="45" t="s">
        <v>29</v>
      </c>
      <c r="D29" s="46"/>
      <c r="E29" s="47"/>
      <c r="U29" s="48"/>
    </row>
    <row r="30" spans="2:21" ht="24.6" thickTop="1" thickBot="1" x14ac:dyDescent="0.5">
      <c r="B30" s="28"/>
      <c r="D30" s="37" t="s">
        <v>15</v>
      </c>
      <c r="E30" s="52">
        <v>1.714</v>
      </c>
      <c r="U30" s="29"/>
    </row>
    <row r="31" spans="2:21" s="26" customFormat="1" ht="19.2" thickTop="1" thickBot="1" x14ac:dyDescent="0.4">
      <c r="B31" s="49" t="s">
        <v>17</v>
      </c>
      <c r="U31" s="48"/>
    </row>
    <row r="32" spans="2:21" ht="24" thickTop="1" x14ac:dyDescent="0.45">
      <c r="B32" s="32"/>
      <c r="C32" s="33"/>
      <c r="D32" s="39"/>
      <c r="E32" s="40">
        <v>600</v>
      </c>
      <c r="F32" s="33" t="s">
        <v>30</v>
      </c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2:5" s="26" customFormat="1" ht="18.600000000000001" thickBot="1" x14ac:dyDescent="0.4">
      <c r="B33" s="54" t="s">
        <v>31</v>
      </c>
      <c r="D33" s="46"/>
      <c r="E33" s="57"/>
    </row>
    <row r="34" spans="2:5" ht="24.6" thickTop="1" thickBot="1" x14ac:dyDescent="0.5">
      <c r="D34" s="37" t="s">
        <v>15</v>
      </c>
      <c r="E34" s="52">
        <v>0.26</v>
      </c>
    </row>
    <row r="35" spans="2:5" s="26" customFormat="1" ht="19.2" thickTop="1" thickBot="1" x14ac:dyDescent="0.4">
      <c r="B35" s="26" t="s">
        <v>32</v>
      </c>
    </row>
    <row r="36" spans="2:5" ht="24.6" thickTop="1" thickBot="1" x14ac:dyDescent="0.5">
      <c r="D36" s="37" t="s">
        <v>15</v>
      </c>
      <c r="E36" s="53">
        <v>0</v>
      </c>
    </row>
    <row r="37" spans="2:5" s="9" customFormat="1" ht="24" thickTop="1" x14ac:dyDescent="0.45">
      <c r="B37" s="27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B346-2ED9-4C58-8734-59E6FCE3E0BA}">
  <dimension ref="A1:G31"/>
  <sheetViews>
    <sheetView topLeftCell="A7" workbookViewId="0">
      <selection activeCell="C23" sqref="C23"/>
    </sheetView>
  </sheetViews>
  <sheetFormatPr defaultRowHeight="14.4" x14ac:dyDescent="0.3"/>
  <cols>
    <col min="1" max="1" width="40" customWidth="1"/>
    <col min="2" max="2" width="11.6640625" bestFit="1" customWidth="1"/>
    <col min="3" max="3" width="12.44140625" bestFit="1" customWidth="1"/>
    <col min="4" max="4" width="12.5546875" bestFit="1" customWidth="1"/>
    <col min="6" max="7" width="9.88671875" bestFit="1" customWidth="1"/>
  </cols>
  <sheetData>
    <row r="1" spans="1:7" x14ac:dyDescent="0.3">
      <c r="A1" s="8" t="s">
        <v>34</v>
      </c>
      <c r="B1" s="8" t="s">
        <v>35</v>
      </c>
      <c r="C1" s="8" t="s">
        <v>36</v>
      </c>
      <c r="D1" s="8" t="s">
        <v>37</v>
      </c>
    </row>
    <row r="2" spans="1:7" x14ac:dyDescent="0.3">
      <c r="A2" s="5" t="s">
        <v>38</v>
      </c>
      <c r="B2" s="6">
        <f>'Invoer prijsafspraken'!$E$9</f>
        <v>2000</v>
      </c>
      <c r="C2" s="4">
        <f>IF('Invoer prijsafspraken'!E5=0,('Invoer prijsafspraken'!E7/1.21)-belastingen!B2,'Invoer prijsafspraken'!E5)</f>
        <v>0.17728925619834715</v>
      </c>
      <c r="D2" s="4">
        <f>C2*B2</f>
        <v>354.57851239669429</v>
      </c>
    </row>
    <row r="3" spans="1:7" x14ac:dyDescent="0.3">
      <c r="A3" s="5" t="s">
        <v>39</v>
      </c>
      <c r="B3" s="6">
        <f>'Invoer prijsafspraken'!$E$9</f>
        <v>2000</v>
      </c>
      <c r="C3" s="4">
        <f>belastingen!B2</f>
        <v>8.7999999999999995E-2</v>
      </c>
      <c r="D3" s="4">
        <f t="shared" ref="D3:D11" si="0">C3*B3</f>
        <v>176</v>
      </c>
    </row>
    <row r="4" spans="1:7" x14ac:dyDescent="0.3">
      <c r="A4" s="5" t="s">
        <v>40</v>
      </c>
      <c r="B4" s="6">
        <f>'Invoer prijsafspraken'!$E$9</f>
        <v>2000</v>
      </c>
      <c r="C4" s="4">
        <f>C3*0.21+C2*0.21</f>
        <v>5.5710743801652904E-2</v>
      </c>
      <c r="D4" s="4">
        <f t="shared" si="0"/>
        <v>111.42148760330581</v>
      </c>
    </row>
    <row r="5" spans="1:7" s="19" customFormat="1" x14ac:dyDescent="0.3">
      <c r="A5" s="22" t="s">
        <v>41</v>
      </c>
      <c r="B5" s="23">
        <f>'Invoer prijsafspraken'!$E$9</f>
        <v>2000</v>
      </c>
      <c r="C5" s="24">
        <f>SUM(C2:C4)</f>
        <v>0.32100000000000006</v>
      </c>
      <c r="D5" s="24">
        <f t="shared" si="0"/>
        <v>642.00000000000011</v>
      </c>
      <c r="G5" s="24"/>
    </row>
    <row r="6" spans="1:7" x14ac:dyDescent="0.3">
      <c r="A6" s="5" t="s">
        <v>38</v>
      </c>
      <c r="B6" s="6">
        <f>'Invoer prijsafspraken'!$E$16</f>
        <v>1000</v>
      </c>
      <c r="C6" s="4">
        <f>IF('Invoer prijsafspraken'!E12=0,('Invoer prijsafspraken'!E14/1.21)-belastingen!B2,'Invoer prijsafspraken'!E12)</f>
        <v>0.17480991735537191</v>
      </c>
      <c r="D6" s="4">
        <f>C6*B6</f>
        <v>174.80991735537191</v>
      </c>
    </row>
    <row r="7" spans="1:7" x14ac:dyDescent="0.3">
      <c r="A7" s="5" t="s">
        <v>39</v>
      </c>
      <c r="B7" s="6">
        <f>'Invoer prijsafspraken'!$E$16</f>
        <v>1000</v>
      </c>
      <c r="C7" s="4">
        <f>belastingen!B2</f>
        <v>8.7999999999999995E-2</v>
      </c>
      <c r="D7" s="4">
        <f t="shared" si="0"/>
        <v>88</v>
      </c>
    </row>
    <row r="8" spans="1:7" x14ac:dyDescent="0.3">
      <c r="A8" s="5" t="s">
        <v>40</v>
      </c>
      <c r="B8" s="6">
        <f>'Invoer prijsafspraken'!$E$16</f>
        <v>1000</v>
      </c>
      <c r="C8" s="4">
        <f>C7*0.21+C6*0.21</f>
        <v>5.5190082644628102E-2</v>
      </c>
      <c r="D8" s="4">
        <f t="shared" si="0"/>
        <v>55.190082644628106</v>
      </c>
      <c r="F8" s="4"/>
    </row>
    <row r="9" spans="1:7" s="19" customFormat="1" x14ac:dyDescent="0.3">
      <c r="A9" s="22" t="s">
        <v>42</v>
      </c>
      <c r="B9" s="23">
        <f>'Invoer prijsafspraken'!$E$16</f>
        <v>1000</v>
      </c>
      <c r="C9" s="24">
        <f>SUM(C6:C8)</f>
        <v>0.318</v>
      </c>
      <c r="D9" s="24">
        <f t="shared" si="0"/>
        <v>318</v>
      </c>
    </row>
    <row r="10" spans="1:7" x14ac:dyDescent="0.3">
      <c r="A10" t="s">
        <v>43</v>
      </c>
      <c r="B10" s="12">
        <v>365</v>
      </c>
      <c r="C10" s="4">
        <f>'vaste kosten'!B2</f>
        <v>0.372</v>
      </c>
      <c r="D10" s="4">
        <f t="shared" si="0"/>
        <v>135.78</v>
      </c>
    </row>
    <row r="11" spans="1:7" x14ac:dyDescent="0.3">
      <c r="A11" t="s">
        <v>44</v>
      </c>
      <c r="B11" s="5">
        <f>B10</f>
        <v>365</v>
      </c>
      <c r="C11" s="4">
        <f>'vaste kosten'!B4</f>
        <v>1.460109589041096</v>
      </c>
      <c r="D11" s="4">
        <f t="shared" si="0"/>
        <v>532.94000000000005</v>
      </c>
    </row>
    <row r="12" spans="1:7" x14ac:dyDescent="0.3">
      <c r="A12" s="5" t="s">
        <v>45</v>
      </c>
      <c r="B12" s="5"/>
      <c r="C12" s="4"/>
      <c r="D12" s="4"/>
    </row>
    <row r="13" spans="1:7" x14ac:dyDescent="0.3">
      <c r="A13" s="5" t="s">
        <v>46</v>
      </c>
      <c r="B13" s="5">
        <f>'Invoer prijsafspraken'!E23</f>
        <v>3000</v>
      </c>
      <c r="C13" s="4">
        <f>'Invoer prijsafspraken'!E19</f>
        <v>8.6800000000000002E-2</v>
      </c>
      <c r="D13" s="20">
        <f t="shared" ref="D13" si="1">-C13*B13</f>
        <v>-260.40000000000003</v>
      </c>
    </row>
    <row r="14" spans="1:7" x14ac:dyDescent="0.3">
      <c r="A14" s="5" t="s">
        <v>47</v>
      </c>
      <c r="B14" s="5">
        <f>'Invoer prijsafspraken'!$E$23</f>
        <v>3000</v>
      </c>
      <c r="C14" s="4">
        <f>'Invoer prijsafspraken'!E21</f>
        <v>5.6000000000000001E-2</v>
      </c>
      <c r="D14" s="4">
        <f>C14*B14</f>
        <v>168</v>
      </c>
    </row>
    <row r="15" spans="1:7" x14ac:dyDescent="0.3">
      <c r="A15" s="5" t="s">
        <v>48</v>
      </c>
      <c r="B15" s="7">
        <f>belastingen!B10</f>
        <v>628.69000000000005</v>
      </c>
      <c r="C15" s="4"/>
      <c r="D15" s="14">
        <f>-B15</f>
        <v>-628.69000000000005</v>
      </c>
    </row>
    <row r="16" spans="1:7" s="19" customFormat="1" x14ac:dyDescent="0.3">
      <c r="A16" s="22" t="s">
        <v>49</v>
      </c>
      <c r="B16" s="22">
        <f>'Invoer prijsafspraken'!E9+'Invoer prijsafspraken'!E16</f>
        <v>3000</v>
      </c>
      <c r="C16" s="24"/>
      <c r="D16" s="13">
        <f>SUM(D5+D9+D10+D11+D13+D14+D15)</f>
        <v>907.63000000000011</v>
      </c>
    </row>
    <row r="17" spans="1:4" x14ac:dyDescent="0.3">
      <c r="A17" s="8" t="s">
        <v>50</v>
      </c>
      <c r="B17" s="8" t="s">
        <v>51</v>
      </c>
      <c r="C17" s="8" t="s">
        <v>36</v>
      </c>
      <c r="D17" s="8" t="s">
        <v>37</v>
      </c>
    </row>
    <row r="18" spans="1:4" x14ac:dyDescent="0.3">
      <c r="A18" s="5" t="s">
        <v>52</v>
      </c>
      <c r="B18" s="8">
        <f>'Invoer prijsafspraken'!$E$32</f>
        <v>600</v>
      </c>
      <c r="C18" s="4">
        <f>IF('Invoer prijsafspraken'!E28=0,('Invoer prijsafspraken'!E30/1.21)-belastingen!B5,'Invoer prijsafspraken'!E28)</f>
        <v>0.8005289256198348</v>
      </c>
      <c r="D18" s="4">
        <f>B18*C18</f>
        <v>480.31735537190087</v>
      </c>
    </row>
    <row r="19" spans="1:4" x14ac:dyDescent="0.3">
      <c r="A19" s="5" t="s">
        <v>39</v>
      </c>
      <c r="B19" s="8">
        <f>'Invoer prijsafspraken'!$E$32</f>
        <v>600</v>
      </c>
      <c r="C19" s="4">
        <f>belastingen!B5</f>
        <v>0.61599999999999999</v>
      </c>
      <c r="D19" s="4">
        <f t="shared" ref="D19:D23" si="2">B19*C19</f>
        <v>369.6</v>
      </c>
    </row>
    <row r="20" spans="1:4" x14ac:dyDescent="0.3">
      <c r="A20" s="5" t="s">
        <v>40</v>
      </c>
      <c r="B20" s="8">
        <f>'Invoer prijsafspraken'!$E$32</f>
        <v>600</v>
      </c>
      <c r="C20" s="4">
        <f>C18*0.21+C19*0.21</f>
        <v>0.29747107438016529</v>
      </c>
      <c r="D20" s="4">
        <f t="shared" si="2"/>
        <v>178.48264462809917</v>
      </c>
    </row>
    <row r="21" spans="1:4" x14ac:dyDescent="0.3">
      <c r="A21" s="5" t="s">
        <v>53</v>
      </c>
      <c r="B21" s="8">
        <f>'Invoer prijsafspraken'!$E$32</f>
        <v>600</v>
      </c>
      <c r="C21" s="4">
        <f>SUM(C18:C20)</f>
        <v>1.714</v>
      </c>
      <c r="D21" s="4">
        <f t="shared" si="2"/>
        <v>1028.4000000000001</v>
      </c>
    </row>
    <row r="22" spans="1:4" x14ac:dyDescent="0.3">
      <c r="A22" t="s">
        <v>54</v>
      </c>
      <c r="B22" s="8">
        <f>B10</f>
        <v>365</v>
      </c>
      <c r="C22" s="4">
        <f>'vaste kosten'!B5</f>
        <v>0.26</v>
      </c>
      <c r="D22" s="4">
        <f t="shared" si="2"/>
        <v>94.9</v>
      </c>
    </row>
    <row r="23" spans="1:4" x14ac:dyDescent="0.3">
      <c r="A23" t="s">
        <v>55</v>
      </c>
      <c r="B23" s="8">
        <f>B10</f>
        <v>365</v>
      </c>
      <c r="C23" s="4">
        <f>'vaste kosten'!B6</f>
        <v>0.81731506849315072</v>
      </c>
      <c r="D23" s="4">
        <f t="shared" si="2"/>
        <v>298.32</v>
      </c>
    </row>
    <row r="24" spans="1:4" s="19" customFormat="1" x14ac:dyDescent="0.3">
      <c r="A24" s="22" t="s">
        <v>56</v>
      </c>
      <c r="B24" s="25">
        <f>'Invoer prijsafspraken'!E32</f>
        <v>600</v>
      </c>
      <c r="C24" s="24"/>
      <c r="D24" s="13">
        <f>SUM(D21:D23)</f>
        <v>1421.6200000000001</v>
      </c>
    </row>
    <row r="25" spans="1:4" x14ac:dyDescent="0.3">
      <c r="B25" s="8"/>
      <c r="C25" s="4"/>
      <c r="D25" s="4"/>
    </row>
    <row r="26" spans="1:4" x14ac:dyDescent="0.3">
      <c r="A26" s="5" t="s">
        <v>57</v>
      </c>
      <c r="B26" s="7">
        <f>'Invoer prijsafspraken'!E36</f>
        <v>0</v>
      </c>
      <c r="C26" s="4"/>
      <c r="D26" s="14">
        <f>-B26</f>
        <v>0</v>
      </c>
    </row>
    <row r="27" spans="1:4" x14ac:dyDescent="0.3">
      <c r="A27" s="5" t="s">
        <v>58</v>
      </c>
      <c r="B27" s="8"/>
      <c r="D27" s="13">
        <f>D16+D24+D26</f>
        <v>2329.25</v>
      </c>
    </row>
    <row r="29" spans="1:4" x14ac:dyDescent="0.3">
      <c r="A29" s="5" t="s">
        <v>59</v>
      </c>
      <c r="D29" s="4">
        <f>D27/12</f>
        <v>194.10416666666666</v>
      </c>
    </row>
    <row r="31" spans="1:4" x14ac:dyDescent="0.3">
      <c r="A31" s="5" t="s">
        <v>60</v>
      </c>
    </row>
  </sheetData>
  <sheetProtection algorithmName="SHA-512" hashValue="qhJf05SnrAxeqDfeEV7xZFtSz0b28bqOo7eC8G8YfK1JdFgLDX4YOzohYcp23xIofVsI9bVTkz+IqLy8GmRRxw==" saltValue="9SDHp/M3Q8UnJ8w3tDljJ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8D64-0247-4522-83C0-C6C941D3C996}">
  <dimension ref="A1:C10"/>
  <sheetViews>
    <sheetView zoomScaleNormal="100" workbookViewId="0">
      <selection activeCell="A5" sqref="A5"/>
    </sheetView>
  </sheetViews>
  <sheetFormatPr defaultRowHeight="14.4" x14ac:dyDescent="0.3"/>
  <cols>
    <col min="1" max="1" width="31.5546875" bestFit="1" customWidth="1"/>
    <col min="2" max="2" width="11.44140625" bestFit="1" customWidth="1"/>
    <col min="3" max="3" width="14.6640625" bestFit="1" customWidth="1"/>
  </cols>
  <sheetData>
    <row r="1" spans="1:3" x14ac:dyDescent="0.3">
      <c r="A1" t="s">
        <v>61</v>
      </c>
      <c r="B1">
        <v>2027</v>
      </c>
    </row>
    <row r="2" spans="1:3" x14ac:dyDescent="0.3">
      <c r="A2" t="s">
        <v>62</v>
      </c>
      <c r="B2" s="2">
        <v>8.7999999999999995E-2</v>
      </c>
      <c r="C2" s="2"/>
    </row>
    <row r="3" spans="1:3" x14ac:dyDescent="0.3">
      <c r="A3" t="s">
        <v>63</v>
      </c>
      <c r="B3" s="2">
        <f t="shared" ref="B3" si="0">B2*21%</f>
        <v>1.848E-2</v>
      </c>
      <c r="C3" s="2"/>
    </row>
    <row r="4" spans="1:3" x14ac:dyDescent="0.3">
      <c r="A4" s="1" t="s">
        <v>64</v>
      </c>
      <c r="B4" s="3">
        <f t="shared" ref="B4" si="1">SUM(B2:B3)</f>
        <v>0.10647999999999999</v>
      </c>
      <c r="C4" s="16"/>
    </row>
    <row r="5" spans="1:3" x14ac:dyDescent="0.3">
      <c r="A5" t="s">
        <v>65</v>
      </c>
      <c r="B5" s="2">
        <v>0.61599999999999999</v>
      </c>
      <c r="C5" s="4"/>
    </row>
    <row r="6" spans="1:3" x14ac:dyDescent="0.3">
      <c r="A6" t="s">
        <v>63</v>
      </c>
      <c r="B6" s="2">
        <f t="shared" ref="B6" si="2">B5*21%</f>
        <v>0.12936</v>
      </c>
      <c r="C6" s="4"/>
    </row>
    <row r="7" spans="1:3" x14ac:dyDescent="0.3">
      <c r="A7" s="1" t="s">
        <v>66</v>
      </c>
      <c r="B7" s="3">
        <f t="shared" ref="B7" si="3">SUM(B5:B6)</f>
        <v>0.74536000000000002</v>
      </c>
      <c r="C7" s="17"/>
    </row>
    <row r="8" spans="1:3" x14ac:dyDescent="0.3">
      <c r="A8" t="s">
        <v>67</v>
      </c>
      <c r="B8" s="4">
        <f>B10/1.21</f>
        <v>519.57851239669424</v>
      </c>
      <c r="C8" s="15"/>
    </row>
    <row r="9" spans="1:3" x14ac:dyDescent="0.3">
      <c r="A9" t="s">
        <v>63</v>
      </c>
      <c r="B9" s="2">
        <f>B8*21%</f>
        <v>109.11148760330579</v>
      </c>
      <c r="C9" s="15"/>
    </row>
    <row r="10" spans="1:3" x14ac:dyDescent="0.3">
      <c r="A10" t="s">
        <v>68</v>
      </c>
      <c r="B10" s="3">
        <v>628.69000000000005</v>
      </c>
      <c r="C10" s="18"/>
    </row>
  </sheetData>
  <sheetProtection algorithmName="SHA-512" hashValue="CEVt5v9SgLmanj8tNjsRyvVkiN1FP3ysuS5IWH5WFwsnuhVz3CSQ5BOl8ii3loDz4gdpD7HmHesb22IWqXohLQ==" saltValue="2VGo3t1U1jGQkym3htCp8Q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7FD5F-9A59-4803-89ED-BB5E0DACD0FD}">
  <dimension ref="A1:G16"/>
  <sheetViews>
    <sheetView workbookViewId="0">
      <selection activeCell="D7" sqref="D7"/>
    </sheetView>
  </sheetViews>
  <sheetFormatPr defaultRowHeight="14.4" x14ac:dyDescent="0.3"/>
  <cols>
    <col min="1" max="1" width="26" bestFit="1" customWidth="1"/>
    <col min="2" max="2" width="9.88671875" bestFit="1" customWidth="1"/>
    <col min="3" max="3" width="24.44140625" bestFit="1" customWidth="1"/>
    <col min="4" max="4" width="26.88671875" bestFit="1" customWidth="1"/>
  </cols>
  <sheetData>
    <row r="1" spans="1:7" x14ac:dyDescent="0.3">
      <c r="A1" t="s">
        <v>69</v>
      </c>
      <c r="B1" t="s">
        <v>70</v>
      </c>
      <c r="C1" t="s">
        <v>71</v>
      </c>
    </row>
    <row r="2" spans="1:7" x14ac:dyDescent="0.3">
      <c r="A2" t="s">
        <v>72</v>
      </c>
      <c r="B2" s="4">
        <f>'Invoer prijsafspraken'!E25</f>
        <v>0.372</v>
      </c>
      <c r="C2" s="4">
        <f>119.88/1.21</f>
        <v>99.074380165289256</v>
      </c>
      <c r="D2" s="4" t="s">
        <v>73</v>
      </c>
    </row>
    <row r="3" spans="1:7" x14ac:dyDescent="0.3">
      <c r="A3" t="s">
        <v>74</v>
      </c>
      <c r="B3" s="4">
        <f>'Invoer prijsafspraken'!E21</f>
        <v>5.6000000000000001E-2</v>
      </c>
      <c r="C3" s="4"/>
      <c r="D3" s="4"/>
    </row>
    <row r="4" spans="1:7" x14ac:dyDescent="0.3">
      <c r="A4" t="s">
        <v>75</v>
      </c>
      <c r="B4" s="4">
        <f>C4/365</f>
        <v>1.460109589041096</v>
      </c>
      <c r="C4" s="4">
        <v>532.94000000000005</v>
      </c>
      <c r="D4" s="4" t="s">
        <v>83</v>
      </c>
    </row>
    <row r="5" spans="1:7" x14ac:dyDescent="0.3">
      <c r="A5" t="s">
        <v>76</v>
      </c>
      <c r="B5" s="4">
        <f>'Invoer prijsafspraken'!E34</f>
        <v>0.26</v>
      </c>
      <c r="C5" s="4">
        <f>95.88/1.21</f>
        <v>79.239669421487605</v>
      </c>
      <c r="D5" s="4" t="s">
        <v>73</v>
      </c>
    </row>
    <row r="6" spans="1:7" x14ac:dyDescent="0.3">
      <c r="A6" t="s">
        <v>77</v>
      </c>
      <c r="B6" s="4">
        <f>IF('Invoer prijsafspraken'!E32&lt;500,G6/365,C6/365)</f>
        <v>0.81731506849315072</v>
      </c>
      <c r="C6" s="4">
        <v>298.32</v>
      </c>
      <c r="D6" s="4" t="s">
        <v>82</v>
      </c>
      <c r="F6" t="s">
        <v>81</v>
      </c>
      <c r="G6" s="58">
        <v>209.04</v>
      </c>
    </row>
    <row r="9" spans="1:7" x14ac:dyDescent="0.3">
      <c r="A9" t="s">
        <v>78</v>
      </c>
    </row>
    <row r="10" spans="1:7" x14ac:dyDescent="0.3">
      <c r="A10" t="s">
        <v>79</v>
      </c>
      <c r="C10" t="s">
        <v>80</v>
      </c>
    </row>
    <row r="16" spans="1:7" x14ac:dyDescent="0.3">
      <c r="C16" s="4"/>
      <c r="D16" s="4"/>
    </row>
  </sheetData>
  <sheetProtection algorithmName="SHA-512" hashValue="gqnJ5ikr6cFt+MePCm+DjL/Wz5yW/NAVb445IMOXAwJR8Jpb8WlnRE0MA7AW9FNCWPRHMpXmiXWP7QJA6wZPkQ==" saltValue="1vZ83PNfmBzZN0MrDDxQT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7DA3-0504-4711-AAB1-78E3F4EA100A}">
  <dimension ref="A1"/>
  <sheetViews>
    <sheetView topLeftCell="H1" zoomScaleNormal="100" workbookViewId="0">
      <selection activeCell="U17" sqref="U17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0E8CF0D554E47918B6587A906B5EA" ma:contentTypeVersion="18" ma:contentTypeDescription="Een nieuw document maken." ma:contentTypeScope="" ma:versionID="be0f743c4ef974768c61b6cda338ab3b">
  <xsd:schema xmlns:xsd="http://www.w3.org/2001/XMLSchema" xmlns:xs="http://www.w3.org/2001/XMLSchema" xmlns:p="http://schemas.microsoft.com/office/2006/metadata/properties" xmlns:ns2="1a0e2b52-a8be-468a-83b8-6b4512018ddd" xmlns:ns3="0baf9fa2-c6ef-4a74-bd98-b819d7970354" targetNamespace="http://schemas.microsoft.com/office/2006/metadata/properties" ma:root="true" ma:fieldsID="c55bf9eee72d9d2fced750bb23710cc7" ns2:_="" ns3:_="">
    <xsd:import namespace="1a0e2b52-a8be-468a-83b8-6b4512018ddd"/>
    <xsd:import namespace="0baf9fa2-c6ef-4a74-bd98-b819d79703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e2b52-a8be-468a-83b8-6b4512018d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3a22f517-e8d0-4605-9b25-e8f7caca75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f9fa2-c6ef-4a74-bd98-b819d797035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7d3b2bd-4077-48f7-8cc9-8496192b4c4a}" ma:internalName="TaxCatchAll" ma:showField="CatchAllData" ma:web="0baf9fa2-c6ef-4a74-bd98-b819d79703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af9fa2-c6ef-4a74-bd98-b819d7970354" xsi:nil="true"/>
    <lcf76f155ced4ddcb4097134ff3c332f xmlns="1a0e2b52-a8be-468a-83b8-6b4512018d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D4B2FA-5D36-40F7-A9AF-DC9EC981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0e2b52-a8be-468a-83b8-6b4512018ddd"/>
    <ds:schemaRef ds:uri="0baf9fa2-c6ef-4a74-bd98-b819d79703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D8D24E-F332-49D3-9CB9-8550AF5CF7F0}">
  <ds:schemaRefs>
    <ds:schemaRef ds:uri="http://purl.org/dc/dcmitype/"/>
    <ds:schemaRef ds:uri="http://www.w3.org/XML/1998/namespace"/>
    <ds:schemaRef ds:uri="1a0e2b52-a8be-468a-83b8-6b4512018ddd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baf9fa2-c6ef-4a74-bd98-b819d797035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32B8ED4-7C2F-46CB-93FC-7BF036B11F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Uitleg werking</vt:lpstr>
      <vt:lpstr>Invoer prijsafspraken</vt:lpstr>
      <vt:lpstr>schatting 2027</vt:lpstr>
      <vt:lpstr>belastingen</vt:lpstr>
      <vt:lpstr>vaste kosten</vt:lpstr>
      <vt:lpstr>Grafiek schatting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Cor Janssen</cp:lastModifiedBy>
  <cp:revision/>
  <dcterms:created xsi:type="dcterms:W3CDTF">2023-02-03T10:43:45Z</dcterms:created>
  <dcterms:modified xsi:type="dcterms:W3CDTF">2026-10-14T09:03:05Z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0x0101001B40E8CF0D554E47918B6587A906B5EA</vt:lpwstr>
  </property>
  <property fmtid="{D5CDD505-2E9C-101B-9397-08002B2CF9AE}" pid="3" name="MediaServiceImageTags">
    <vt:lpwstr/>
  </property>
</Properties>
</file>